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95" windowWidth="11580" windowHeight="42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<sst xmlns="http://schemas.openxmlformats.org/spreadsheetml/2006/main" count="156" uniqueCount="111">
  <si>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</si>
  <si>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</si>
  <si>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</si>
  <si>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</si>
  <si>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</si>
  <si>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</si>
  <si>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</si>
  <si>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</si>
  <si>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</si>
  <si>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</si>
  <si>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</si>
  <si>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</si>
  <si>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</si>
  <si>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</si>
  <si>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</si>
  <si>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</si>
  <si>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</si>
  <si>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</si>
  <si>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</si>
  <si>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</si>
  <si>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</si>
  <si>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</si>
  <si>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</si>
  <si>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</si>
  <si>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</si>
  <si>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</si>
  <si>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</si>
  <si>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</si>
  <si>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</si>
  <si>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</si>
  <si>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</si>
  <si>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</si>
  <si>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</si>
  <si>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</si>
  <si>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</si>
  <si>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</si>
  <si>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</si>
  <si>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</si>
  <si>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</si>
  <si>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</si>
  <si>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</si>
  <si>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</si>
  <si>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</si>
  <si>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</si>
  <si>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</si>
  <si>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</si>
  <si>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</si>
  <si>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</si>
  <si>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</si>
  <si>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</si>
  <si>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</si>
  <si>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</si>
  <si>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</si>
  <si>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</si>
  <si>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</si>
  <si>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</si>
  <si>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</si>
  <si>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</si>
  <si>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</si>
  <si>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</si>
  <si>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</si>
  <si>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</si>
  <si>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</si>
  <si>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</si>
  <si>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</si>
  <si>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</si>
  <si>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</si>
  <si>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</si>
  <si>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</si>
  <si>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</si>
  <si>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</si>
  <si>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</si>
  <si>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</si>
  <si>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</si>
  <si>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</si>
  <si>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</si>
  <si>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</si>
  <si>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</si>
  <si>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</si>
  <si>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</si>
  <si>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</si>
  <si>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</si>
  <si>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</si>
  <si>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</si>
  <si>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</si>
  <si>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</si>
  <si>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</si>
  <si>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</si>
  <si>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</si>
  <si>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</si>
  <si>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</si>
  <si>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</si>
  <si>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</si>
  <si>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</si>
  <si>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</si>
  <si>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</si>
  <si>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</si>
  <si>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</si>
  <si>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</si>
  <si>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</si>
  <si>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</si>
  <si>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</si>
  <si>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</si>
  <si>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</si>
  <si>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</si>
  <si>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</si>
  <si>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</si>
  <si>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</si>
  <si>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</si>
  <si>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</si>
  <si>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міського бюджету за 2014 рік станом на 18.07.2014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</si>
</sst>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b/>
      <sz val="23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b/>
      <sz val="24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b/>
      <sz val="23.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b/>
      <sz val="23.75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b/>
      <sz val="19.7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22509.600000000006</c:v>
                </c:pt>
                <c:pt idx="1">
                  <c:v>19014.699999999997</c:v>
                </c:pt>
                <c:pt idx="2">
                  <c:v>1038.2</c:v>
                </c:pt>
                <c:pt idx="3">
                  <c:v>2456.700000000009</c:v>
                </c:pt>
              </c:numCache>
            </c:numRef>
          </c:val>
          <c:shape val="box"/>
        </c:ser>
        <c:shape val="box"/>
        <c:axId val="2077310"/>
        <c:axId val="18695791"/>
      </c:bar3DChart>
      <c:catAx>
        <c:axId val="2077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695791"/>
        <c:crosses val="autoZero"/>
        <c:auto val="1"/>
        <c:lblOffset val="100"/>
        <c:tickLblSkip val="1"/>
        <c:noMultiLvlLbl val="0"/>
      </c:catAx>
      <c:valAx>
        <c:axId val="18695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73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162365.1</c:v>
                </c:pt>
                <c:pt idx="1">
                  <c:v>133566.4</c:v>
                </c:pt>
                <c:pt idx="2">
                  <c:v>10.500000000000002</c:v>
                </c:pt>
                <c:pt idx="3">
                  <c:v>9111.100000000002</c:v>
                </c:pt>
                <c:pt idx="4">
                  <c:v>18940.6</c:v>
                </c:pt>
                <c:pt idx="5">
                  <c:v>181.4</c:v>
                </c:pt>
                <c:pt idx="6">
                  <c:v>555.1000000000109</c:v>
                </c:pt>
              </c:numCache>
            </c:numRef>
          </c:val>
          <c:shape val="box"/>
        </c:ser>
        <c:shape val="box"/>
        <c:axId val="34044392"/>
        <c:axId val="37964073"/>
      </c:bar3DChart>
      <c:catAx>
        <c:axId val="340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964073"/>
        <c:crosses val="autoZero"/>
        <c:auto val="1"/>
        <c:lblOffset val="100"/>
        <c:tickLblSkip val="1"/>
        <c:noMultiLvlLbl val="0"/>
      </c:catAx>
      <c:valAx>
        <c:axId val="37964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443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96695.90000000001</c:v>
                </c:pt>
                <c:pt idx="1">
                  <c:v>77858.69999999998</c:v>
                </c:pt>
                <c:pt idx="2">
                  <c:v>1975.9999999999995</c:v>
                </c:pt>
                <c:pt idx="3">
                  <c:v>1349.5</c:v>
                </c:pt>
                <c:pt idx="4">
                  <c:v>8374.199999999999</c:v>
                </c:pt>
                <c:pt idx="5">
                  <c:v>719.5</c:v>
                </c:pt>
                <c:pt idx="6">
                  <c:v>6418.000000000027</c:v>
                </c:pt>
              </c:numCache>
            </c:numRef>
          </c:val>
          <c:shape val="box"/>
        </c:ser>
        <c:shape val="box"/>
        <c:axId val="6132338"/>
        <c:axId val="55191043"/>
      </c:bar3DChart>
      <c:catAx>
        <c:axId val="613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91043"/>
        <c:crosses val="autoZero"/>
        <c:auto val="1"/>
        <c:lblOffset val="100"/>
        <c:tickLblSkip val="1"/>
        <c:noMultiLvlLbl val="0"/>
      </c:catAx>
      <c:valAx>
        <c:axId val="55191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23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21512.299999999992</c:v>
                </c:pt>
                <c:pt idx="1">
                  <c:v>16811.899999999998</c:v>
                </c:pt>
                <c:pt idx="2">
                  <c:v>674.9</c:v>
                </c:pt>
                <c:pt idx="3">
                  <c:v>197.29999999999998</c:v>
                </c:pt>
                <c:pt idx="4">
                  <c:v>18</c:v>
                </c:pt>
                <c:pt idx="5">
                  <c:v>3810.199999999994</c:v>
                </c:pt>
              </c:numCache>
            </c:numRef>
          </c:val>
          <c:shape val="box"/>
        </c:ser>
        <c:shape val="box"/>
        <c:axId val="26957340"/>
        <c:axId val="41289469"/>
      </c:bar3DChart>
      <c:catAx>
        <c:axId val="2695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289469"/>
        <c:crosses val="autoZero"/>
        <c:auto val="1"/>
        <c:lblOffset val="100"/>
        <c:tickLblSkip val="1"/>
        <c:noMultiLvlLbl val="0"/>
      </c:catAx>
      <c:valAx>
        <c:axId val="41289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573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6116.2</c:v>
                </c:pt>
                <c:pt idx="1">
                  <c:v>4045.9999999999995</c:v>
                </c:pt>
                <c:pt idx="3">
                  <c:v>79.50000000000001</c:v>
                </c:pt>
                <c:pt idx="4">
                  <c:v>224.69999999999993</c:v>
                </c:pt>
                <c:pt idx="5">
                  <c:v>1766.0000000000005</c:v>
                </c:pt>
              </c:numCache>
            </c:numRef>
          </c:val>
          <c:shape val="box"/>
        </c:ser>
        <c:shape val="box"/>
        <c:axId val="36060902"/>
        <c:axId val="56112663"/>
      </c:bar3DChart>
      <c:catAx>
        <c:axId val="3606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12663"/>
        <c:crosses val="autoZero"/>
        <c:auto val="1"/>
        <c:lblOffset val="100"/>
        <c:tickLblSkip val="2"/>
        <c:noMultiLvlLbl val="0"/>
      </c:catAx>
      <c:valAx>
        <c:axId val="56112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60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1701.4</c:v>
                </c:pt>
                <c:pt idx="1">
                  <c:v>1170.7</c:v>
                </c:pt>
                <c:pt idx="2">
                  <c:v>82</c:v>
                </c:pt>
                <c:pt idx="3">
                  <c:v>126.3</c:v>
                </c:pt>
                <c:pt idx="4">
                  <c:v>238</c:v>
                </c:pt>
                <c:pt idx="5">
                  <c:v>84.40000000000003</c:v>
                </c:pt>
              </c:numCache>
            </c:numRef>
          </c:val>
          <c:shape val="box"/>
        </c:ser>
        <c:shape val="box"/>
        <c:axId val="35251920"/>
        <c:axId val="48831825"/>
      </c:bar3DChart>
      <c:catAx>
        <c:axId val="35251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31825"/>
        <c:crosses val="autoZero"/>
        <c:auto val="1"/>
        <c:lblOffset val="100"/>
        <c:tickLblSkip val="1"/>
        <c:noMultiLvlLbl val="0"/>
      </c:catAx>
      <c:valAx>
        <c:axId val="48831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519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17868.400000000005</c:v>
                </c:pt>
              </c:numCache>
            </c:numRef>
          </c:val>
          <c:shape val="box"/>
        </c:ser>
        <c:shape val="box"/>
        <c:axId val="36833242"/>
        <c:axId val="63063723"/>
      </c:bar3DChart>
      <c:catAx>
        <c:axId val="3683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063723"/>
        <c:crosses val="autoZero"/>
        <c:auto val="1"/>
        <c:lblOffset val="100"/>
        <c:tickLblSkip val="1"/>
        <c:noMultiLvlLbl val="0"/>
      </c:catAx>
      <c:valAx>
        <c:axId val="63063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332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162365.1</c:v>
                </c:pt>
                <c:pt idx="1">
                  <c:v>96695.90000000001</c:v>
                </c:pt>
                <c:pt idx="2">
                  <c:v>21512.299999999992</c:v>
                </c:pt>
                <c:pt idx="3">
                  <c:v>6116.2</c:v>
                </c:pt>
                <c:pt idx="4">
                  <c:v>1701.4</c:v>
                </c:pt>
                <c:pt idx="5">
                  <c:v>22509.600000000006</c:v>
                </c:pt>
                <c:pt idx="6">
                  <c:v>17868.400000000005</c:v>
                </c:pt>
              </c:numCache>
            </c:numRef>
          </c:val>
          <c:shape val="box"/>
        </c:ser>
        <c:shape val="box"/>
        <c:axId val="30702596"/>
        <c:axId val="7887909"/>
      </c:bar3DChart>
      <c:catAx>
        <c:axId val="3070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87909"/>
        <c:crosses val="autoZero"/>
        <c:auto val="1"/>
        <c:lblOffset val="100"/>
        <c:tickLblSkip val="1"/>
        <c:noMultiLvlLbl val="0"/>
      </c:catAx>
      <c:valAx>
        <c:axId val="7887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025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92563.40000000001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255560.99999999997</c:v>
                </c:pt>
                <c:pt idx="1">
                  <c:v>29867.399999999998</c:v>
                </c:pt>
                <c:pt idx="2">
                  <c:v>10654.600000000002</c:v>
                </c:pt>
                <c:pt idx="3">
                  <c:v>4102.200000000001</c:v>
                </c:pt>
                <c:pt idx="4">
                  <c:v>1986.7999999999995</c:v>
                </c:pt>
                <c:pt idx="5">
                  <c:v>39719.40000000011</c:v>
                </c:pt>
              </c:numCache>
            </c:numRef>
          </c:val>
          <c:shape val="box"/>
        </c:ser>
        <c:shape val="box"/>
        <c:axId val="3882318"/>
        <c:axId val="34940863"/>
      </c:bar3DChart>
      <c:catAx>
        <c:axId val="388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40863"/>
        <c:crosses val="autoZero"/>
        <c:auto val="1"/>
        <c:lblOffset val="100"/>
        <c:tickLblSkip val="1"/>
        <c:noMultiLvlLbl val="0"/>
      </c:catAx>
      <c:valAx>
        <c:axId val="34940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23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5" sqref="B3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0" t="s">
        <v>110</v>
      </c>
      <c r="B1" s="120"/>
      <c r="C1" s="120"/>
      <c r="D1" s="120"/>
      <c r="E1" s="120"/>
      <c r="F1" s="120"/>
      <c r="G1" s="120"/>
      <c r="H1" s="120"/>
      <c r="I1" s="120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4" t="s">
        <v>50</v>
      </c>
      <c r="B3" s="121" t="s">
        <v>107</v>
      </c>
      <c r="C3" s="121" t="s">
        <v>102</v>
      </c>
      <c r="D3" s="121" t="s">
        <v>29</v>
      </c>
      <c r="E3" s="121" t="s">
        <v>28</v>
      </c>
      <c r="F3" s="121" t="s">
        <v>108</v>
      </c>
      <c r="G3" s="121" t="s">
        <v>103</v>
      </c>
      <c r="H3" s="121" t="s">
        <v>109</v>
      </c>
      <c r="I3" s="121" t="s">
        <v>104</v>
      </c>
    </row>
    <row r="4" spans="1:9" ht="24.75" customHeight="1">
      <c r="A4" s="125"/>
      <c r="B4" s="122"/>
      <c r="C4" s="122"/>
      <c r="D4" s="122"/>
      <c r="E4" s="122"/>
      <c r="F4" s="122"/>
      <c r="G4" s="122"/>
      <c r="H4" s="122"/>
      <c r="I4" s="122"/>
    </row>
    <row r="5" spans="1:9" ht="39" customHeight="1" thickBot="1">
      <c r="A5" s="126"/>
      <c r="B5" s="123"/>
      <c r="C5" s="123"/>
      <c r="D5" s="123"/>
      <c r="E5" s="123"/>
      <c r="F5" s="123"/>
      <c r="G5" s="123"/>
      <c r="H5" s="123"/>
      <c r="I5" s="123"/>
    </row>
    <row r="6" spans="1:9" ht="18.75" thickBot="1">
      <c r="A6" s="30" t="s">
        <v>34</v>
      </c>
      <c r="B6" s="55">
        <v>176270.5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</f>
        <v>169124.40000000002</v>
      </c>
      <c r="E6" s="3">
        <f>D6/D134*100</f>
        <v>46.817881462932135</v>
      </c>
      <c r="F6" s="3">
        <f>D6/B6*100</f>
        <v>95.94594671258096</v>
      </c>
      <c r="G6" s="3">
        <f aca="true" t="shared" si="0" ref="G6:G41">D6/C6*100</f>
        <v>61.64364688206878</v>
      </c>
      <c r="H6" s="3">
        <f>B6-D6</f>
        <v>7146.099999999977</v>
      </c>
      <c r="I6" s="3">
        <f aca="true" t="shared" si="1" ref="I6:I41">C6-D6</f>
        <v>105233.79999999999</v>
      </c>
    </row>
    <row r="7" spans="1:9" ht="18">
      <c r="A7" s="31" t="s">
        <v>3</v>
      </c>
      <c r="B7" s="52">
        <v>143517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7985.1+61.4+9890.7+1.2+8129.6+806.2+1384.8+4074.5+2508.4-0.1+1256+5351+1046.8+1404.7+196.9+8063.3+1035+0.1+765.8+122.3+398.7+641.6+852.4+6947.2+10178.9+8480.2+21078.8+18386+499.1+151.8+157.9+11710+0.1+4412.3</f>
        <v>137978.69999999998</v>
      </c>
      <c r="E7" s="1">
        <f>D7/D6*100</f>
        <v>81.58414752690916</v>
      </c>
      <c r="F7" s="1">
        <f>D7/B7*100</f>
        <v>96.14101465331632</v>
      </c>
      <c r="G7" s="1">
        <f t="shared" si="0"/>
        <v>64.1149172441385</v>
      </c>
      <c r="H7" s="1">
        <f>B7-D7</f>
        <v>5538.3000000000175</v>
      </c>
      <c r="I7" s="1">
        <f t="shared" si="1"/>
        <v>77226.60000000003</v>
      </c>
    </row>
    <row r="8" spans="1:9" ht="18">
      <c r="A8" s="31" t="s">
        <v>2</v>
      </c>
      <c r="B8" s="52">
        <v>22.4</v>
      </c>
      <c r="C8" s="53">
        <v>44.6</v>
      </c>
      <c r="D8" s="54">
        <f>0.1+0.1+0.3+0.3+2.7+0.7+1.1+1.4+0.5+0.7+1.7+0.4+0.5+1+0.2</f>
        <v>11.700000000000001</v>
      </c>
      <c r="E8" s="13">
        <f>D8/D6*100</f>
        <v>0.006917984631431065</v>
      </c>
      <c r="F8" s="1">
        <f>D8/B8*100</f>
        <v>52.23214285714286</v>
      </c>
      <c r="G8" s="1">
        <f t="shared" si="0"/>
        <v>26.233183856502247</v>
      </c>
      <c r="H8" s="1">
        <f aca="true" t="shared" si="2" ref="H8:H30">B8-D8</f>
        <v>10.699999999999998</v>
      </c>
      <c r="I8" s="1">
        <f t="shared" si="1"/>
        <v>32.9</v>
      </c>
    </row>
    <row r="9" spans="1:9" ht="18">
      <c r="A9" s="31" t="s">
        <v>1</v>
      </c>
      <c r="B9" s="52">
        <v>9877.7</v>
      </c>
      <c r="C9" s="53">
        <v>17103.7</v>
      </c>
      <c r="D9" s="58">
        <f>538.7+346.9+429.4+56.3+419.6+508.1+71-0.1+453.2+98.5+2.8+391.5+199.8+80.8+202.8+35.8+0.1+605.8+190.7+96.5+200+176+997.3+131.2+243.2+104+591.3+99.4+217.4+212.6+91.6-0.1+103.6+174.3+89.1+426.5+77.6+43.7+34.3+79.9+190+100+316.7+131.4</f>
        <v>9559.200000000003</v>
      </c>
      <c r="E9" s="1">
        <f>D9/D6*100</f>
        <v>5.652170828100499</v>
      </c>
      <c r="F9" s="1">
        <f aca="true" t="shared" si="3" ref="F9:F39">D9/B9*100</f>
        <v>96.77556516193043</v>
      </c>
      <c r="G9" s="1">
        <f t="shared" si="0"/>
        <v>55.889661301355865</v>
      </c>
      <c r="H9" s="1">
        <f t="shared" si="2"/>
        <v>318.4999999999982</v>
      </c>
      <c r="I9" s="1">
        <f t="shared" si="1"/>
        <v>7544.499999999998</v>
      </c>
    </row>
    <row r="10" spans="1:9" ht="18">
      <c r="A10" s="31" t="s">
        <v>0</v>
      </c>
      <c r="B10" s="52">
        <v>21261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1.1+76.7+36.7+34.9+18.5+42.2+88.1+82.5+80.9+400.1+1837.5+2957.3+365.3+150+4041.5+622.1+388.9+504.4+104+339.4+307.4+873.2+298.8+1030.7+5.1+301.4+159+4.7+44.9+145.5+1389.2+0.1+286.8+29.7+169.8+150+335.9+471.6+518+146.5+100.2+1758.9+8.6+0.7</f>
        <v>20708.8</v>
      </c>
      <c r="E10" s="1">
        <f>D10/D6*100</f>
        <v>12.244714541485436</v>
      </c>
      <c r="F10" s="1">
        <f t="shared" si="3"/>
        <v>97.40275622030948</v>
      </c>
      <c r="G10" s="1">
        <f t="shared" si="0"/>
        <v>52.49977817495025</v>
      </c>
      <c r="H10" s="1">
        <f t="shared" si="2"/>
        <v>552.2000000000007</v>
      </c>
      <c r="I10" s="1">
        <f t="shared" si="1"/>
        <v>18736.7</v>
      </c>
    </row>
    <row r="11" spans="1:9" ht="18">
      <c r="A11" s="31" t="s">
        <v>15</v>
      </c>
      <c r="B11" s="52">
        <v>234.5</v>
      </c>
      <c r="C11" s="53">
        <v>281.8</v>
      </c>
      <c r="D11" s="54">
        <f>4+4+12.7+4+4+14.5+4+115.8+4+14.4</f>
        <v>181.4</v>
      </c>
      <c r="E11" s="1">
        <f>D11/D6*100</f>
        <v>0.10725832582406795</v>
      </c>
      <c r="F11" s="1">
        <f t="shared" si="3"/>
        <v>77.35607675906184</v>
      </c>
      <c r="G11" s="1">
        <f t="shared" si="0"/>
        <v>64.37189496096522</v>
      </c>
      <c r="H11" s="1">
        <f t="shared" si="2"/>
        <v>53.099999999999994</v>
      </c>
      <c r="I11" s="1">
        <f t="shared" si="1"/>
        <v>100.4</v>
      </c>
    </row>
    <row r="12" spans="1:9" ht="18.75" thickBot="1">
      <c r="A12" s="31" t="s">
        <v>35</v>
      </c>
      <c r="B12" s="53">
        <f>B6-B7-B8-B9-B10-B11</f>
        <v>1357.8999999999978</v>
      </c>
      <c r="C12" s="53">
        <f>C6-C7-C8-C9-C10-C11</f>
        <v>2277.299999999991</v>
      </c>
      <c r="D12" s="53">
        <f>D6-D7-D8-D9-D10-D11</f>
        <v>684.60000000004</v>
      </c>
      <c r="E12" s="1">
        <f>D12/D6*100</f>
        <v>0.4047907930494003</v>
      </c>
      <c r="F12" s="1">
        <f t="shared" si="3"/>
        <v>50.4160836585935</v>
      </c>
      <c r="G12" s="1">
        <f t="shared" si="0"/>
        <v>30.061915426164436</v>
      </c>
      <c r="H12" s="1">
        <f t="shared" si="2"/>
        <v>673.2999999999578</v>
      </c>
      <c r="I12" s="1">
        <f t="shared" si="1"/>
        <v>1592.6999999999512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121352.1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</f>
        <v>105739.90000000001</v>
      </c>
      <c r="E17" s="3">
        <f>D17/D134*100</f>
        <v>29.271459967351234</v>
      </c>
      <c r="F17" s="3">
        <f>D17/B17*100</f>
        <v>87.13479206375497</v>
      </c>
      <c r="G17" s="3">
        <f t="shared" si="0"/>
        <v>59.48206563959595</v>
      </c>
      <c r="H17" s="3">
        <f>B17-D17</f>
        <v>15612.199999999997</v>
      </c>
      <c r="I17" s="3">
        <f t="shared" si="1"/>
        <v>72027.8</v>
      </c>
    </row>
    <row r="18" spans="1:9" ht="18">
      <c r="A18" s="31" t="s">
        <v>5</v>
      </c>
      <c r="B18" s="52">
        <v>94299.9</v>
      </c>
      <c r="C18" s="53">
        <f>133077.8+325.7</f>
        <v>133403.5</v>
      </c>
      <c r="D18" s="54">
        <f>5127.2+6545.1+310.1+0.1+5190.4+6767.1+5380.4+556.1+6698.2+26.3+5454.2+14.7+1807.4+5633.7-0.1+5479.7+8333.7+0.1+5594.2+20.5+8919.7-0.1+6648.6</f>
        <v>84507.29999999999</v>
      </c>
      <c r="E18" s="1">
        <f>D18/D17*100</f>
        <v>79.9199734442722</v>
      </c>
      <c r="F18" s="1">
        <f t="shared" si="3"/>
        <v>89.61547149042575</v>
      </c>
      <c r="G18" s="1">
        <f t="shared" si="0"/>
        <v>63.34713856832841</v>
      </c>
      <c r="H18" s="1">
        <f t="shared" si="2"/>
        <v>9792.600000000006</v>
      </c>
      <c r="I18" s="1">
        <f t="shared" si="1"/>
        <v>48896.20000000001</v>
      </c>
    </row>
    <row r="19" spans="1:9" ht="18">
      <c r="A19" s="31" t="s">
        <v>2</v>
      </c>
      <c r="B19" s="52">
        <v>4725.5</v>
      </c>
      <c r="C19" s="53">
        <f>7565.3-5.5+258.8</f>
        <v>7818.6</v>
      </c>
      <c r="D19" s="54">
        <f>15+99.7+173.8+0.6+107.5+22.1+0.5+193.8+202.2+7.6+0.9+0.4+198.3+0.9+0.9+95.5+0.1+279.3+38.4+83.3+46.9+46.6+4.1+6.6+39.1+95.6+92.1+24.2+50.1-0.1+50+365.7</f>
        <v>2341.6999999999994</v>
      </c>
      <c r="E19" s="1">
        <f>D19/D17*100</f>
        <v>2.2145850336533317</v>
      </c>
      <c r="F19" s="1">
        <f t="shared" si="3"/>
        <v>49.55454449264627</v>
      </c>
      <c r="G19" s="1">
        <f t="shared" si="0"/>
        <v>29.950374747397223</v>
      </c>
      <c r="H19" s="1">
        <f t="shared" si="2"/>
        <v>2383.8000000000006</v>
      </c>
      <c r="I19" s="1">
        <f t="shared" si="1"/>
        <v>5476.9000000000015</v>
      </c>
    </row>
    <row r="20" spans="1:9" ht="18">
      <c r="A20" s="31" t="s">
        <v>1</v>
      </c>
      <c r="B20" s="52">
        <v>1580</v>
      </c>
      <c r="C20" s="53">
        <v>2836.6</v>
      </c>
      <c r="D20" s="54">
        <f>50.7+162.6+43.4+2.3+47.2+1.8+59.1-0.1+62.8+64.5+13.9+16.6+5.7+70.4+205+17+53.6+0.4+52.9+123.3+33.6+13.4+33.2+48.5+167.7+45.5</f>
        <v>1395</v>
      </c>
      <c r="E20" s="1">
        <f>D20/D17*100</f>
        <v>1.319274937842763</v>
      </c>
      <c r="F20" s="1">
        <f t="shared" si="3"/>
        <v>88.29113924050634</v>
      </c>
      <c r="G20" s="1">
        <f t="shared" si="0"/>
        <v>49.17859409151802</v>
      </c>
      <c r="H20" s="1">
        <f t="shared" si="2"/>
        <v>185</v>
      </c>
      <c r="I20" s="1">
        <f t="shared" si="1"/>
        <v>1441.6</v>
      </c>
    </row>
    <row r="21" spans="1:9" ht="18">
      <c r="A21" s="31" t="s">
        <v>0</v>
      </c>
      <c r="B21" s="52">
        <f>10671.5-2.7</f>
        <v>10668.8</v>
      </c>
      <c r="C21" s="53">
        <f>19349.6+4</f>
        <v>19353.6</v>
      </c>
      <c r="D21" s="54">
        <f>36.6+15.7+3.3+2+290.1+4.1+24.2+41.8-0.1+460.8+0.9+2.5+257.9+361.7+1303.2+901+0.2+255.3+105.4+1050+1256.6+91+115.9+147.7+464.8+110+110.3+66.7+175+286.2-0.1+383.7+49.8+1261.4</f>
        <v>9635.599999999999</v>
      </c>
      <c r="E21" s="1">
        <f>D21/D17*100</f>
        <v>9.112548810808406</v>
      </c>
      <c r="F21" s="1">
        <f t="shared" si="3"/>
        <v>90.31568686262746</v>
      </c>
      <c r="G21" s="1">
        <f t="shared" si="0"/>
        <v>49.7871197089947</v>
      </c>
      <c r="H21" s="1">
        <f t="shared" si="2"/>
        <v>1033.2000000000007</v>
      </c>
      <c r="I21" s="1">
        <f t="shared" si="1"/>
        <v>9718</v>
      </c>
    </row>
    <row r="22" spans="1:9" ht="18">
      <c r="A22" s="31" t="s">
        <v>15</v>
      </c>
      <c r="B22" s="52">
        <v>857.4</v>
      </c>
      <c r="C22" s="53">
        <v>1388.5</v>
      </c>
      <c r="D22" s="54">
        <f>14.2+80.1+19.7+105+3.5+1.3+30+84.1+0.1+72.2+54.8+15.1+59.3+59.3+8.9+52.2+1.2+36.9+21.6+108.1</f>
        <v>827.6</v>
      </c>
      <c r="E22" s="1">
        <f>D22/D17*100</f>
        <v>0.7826752247732407</v>
      </c>
      <c r="F22" s="1">
        <f t="shared" si="3"/>
        <v>96.52437602052719</v>
      </c>
      <c r="G22" s="1">
        <f t="shared" si="0"/>
        <v>59.603889088944904</v>
      </c>
      <c r="H22" s="1">
        <f t="shared" si="2"/>
        <v>29.799999999999955</v>
      </c>
      <c r="I22" s="1">
        <f t="shared" si="1"/>
        <v>560.9</v>
      </c>
    </row>
    <row r="23" spans="1:9" ht="18.75" thickBot="1">
      <c r="A23" s="31" t="s">
        <v>35</v>
      </c>
      <c r="B23" s="53">
        <f>B17-B18-B19-B20-B21-B22</f>
        <v>9220.500000000013</v>
      </c>
      <c r="C23" s="53">
        <f>C17-C18-C19-C20-C21-C22</f>
        <v>12966.900000000016</v>
      </c>
      <c r="D23" s="53">
        <f>D17-D18-D19-D20-D21-D22</f>
        <v>7032.700000000021</v>
      </c>
      <c r="E23" s="1">
        <f>D23/D17*100</f>
        <v>6.650942548650056</v>
      </c>
      <c r="F23" s="1">
        <f t="shared" si="3"/>
        <v>76.27243641884942</v>
      </c>
      <c r="G23" s="1">
        <f t="shared" si="0"/>
        <v>54.23578496016791</v>
      </c>
      <c r="H23" s="1">
        <f t="shared" si="2"/>
        <v>2187.799999999992</v>
      </c>
      <c r="I23" s="1">
        <f t="shared" si="1"/>
        <v>5934.199999999995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24218.3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</f>
        <v>22151.69999999999</v>
      </c>
      <c r="E31" s="3">
        <f>D31/D134*100</f>
        <v>6.132146897800867</v>
      </c>
      <c r="F31" s="3">
        <f>D31/B31*100</f>
        <v>91.46678338281379</v>
      </c>
      <c r="G31" s="3">
        <f t="shared" si="0"/>
        <v>59.030586956174126</v>
      </c>
      <c r="H31" s="3">
        <f aca="true" t="shared" si="4" ref="H31:H41">B31-D31</f>
        <v>2066.6000000000095</v>
      </c>
      <c r="I31" s="3">
        <f t="shared" si="1"/>
        <v>15374.100000000013</v>
      </c>
    </row>
    <row r="32" spans="1:9" ht="18">
      <c r="A32" s="31" t="s">
        <v>3</v>
      </c>
      <c r="B32" s="52">
        <f>18290.6+2.4</f>
        <v>18293</v>
      </c>
      <c r="C32" s="53">
        <f>28976.1-761.1</f>
        <v>28215</v>
      </c>
      <c r="D32" s="54">
        <f>1119.5+1121.1+1039.4+104.2+1079.5+1133.4+1048+1163.9+1081.6+1130.3+1238-0.1+13.4+4.1+3118.3+55.1+2433-70.8+488</f>
        <v>17299.899999999998</v>
      </c>
      <c r="E32" s="1">
        <f>D32/D31*100</f>
        <v>78.09739207374606</v>
      </c>
      <c r="F32" s="1">
        <f t="shared" si="3"/>
        <v>94.57114743344448</v>
      </c>
      <c r="G32" s="1">
        <f t="shared" si="0"/>
        <v>61.31454899875952</v>
      </c>
      <c r="H32" s="1">
        <f t="shared" si="4"/>
        <v>993.1000000000022</v>
      </c>
      <c r="I32" s="1">
        <f t="shared" si="1"/>
        <v>10915.100000000002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902-2.4</f>
        <v>899.6</v>
      </c>
      <c r="C34" s="53">
        <f>1732.8+0.4</f>
        <v>1733.2</v>
      </c>
      <c r="D34" s="54">
        <f>1+2.5+0.8+6+1.4+0.1+11.2+0.5+6.3-0.2+32.4+6.9+2.4+3.4+18.4+48+143.7+198.6+32.7+71.3+22.6+9.9+48+1.6+5.4+15.8</f>
        <v>690.6999999999999</v>
      </c>
      <c r="E34" s="1">
        <f>D34/D31*100</f>
        <v>3.1180451161761864</v>
      </c>
      <c r="F34" s="1">
        <f t="shared" si="3"/>
        <v>76.77856825255668</v>
      </c>
      <c r="G34" s="1">
        <f t="shared" si="0"/>
        <v>39.851142395568885</v>
      </c>
      <c r="H34" s="1">
        <f t="shared" si="4"/>
        <v>208.9000000000001</v>
      </c>
      <c r="I34" s="1">
        <f t="shared" si="1"/>
        <v>1042.5</v>
      </c>
    </row>
    <row r="35" spans="1:9" s="47" customFormat="1" ht="18.75">
      <c r="A35" s="25" t="s">
        <v>7</v>
      </c>
      <c r="B35" s="61">
        <v>509.5</v>
      </c>
      <c r="C35" s="62">
        <v>715.3</v>
      </c>
      <c r="D35" s="63">
        <f>38.5+5.5+3+4.5+22.1+25.5+8.2+45.3+17.5+1+24+2.2+10</f>
        <v>207.29999999999998</v>
      </c>
      <c r="E35" s="21">
        <f>D35/D31*100</f>
        <v>0.9358198242121375</v>
      </c>
      <c r="F35" s="21">
        <f t="shared" si="3"/>
        <v>40.68694798822374</v>
      </c>
      <c r="G35" s="21">
        <f t="shared" si="0"/>
        <v>28.980847196980285</v>
      </c>
      <c r="H35" s="21">
        <f t="shared" si="4"/>
        <v>302.20000000000005</v>
      </c>
      <c r="I35" s="21">
        <f t="shared" si="1"/>
        <v>508</v>
      </c>
    </row>
    <row r="36" spans="1:9" ht="18">
      <c r="A36" s="31" t="s">
        <v>15</v>
      </c>
      <c r="B36" s="52">
        <v>18</v>
      </c>
      <c r="C36" s="53">
        <f>45.2-20</f>
        <v>25.200000000000003</v>
      </c>
      <c r="D36" s="53">
        <f>3.6+3.6+7.2+3.6</f>
        <v>18</v>
      </c>
      <c r="E36" s="1">
        <f>D36/D31*100</f>
        <v>0.08125787185633612</v>
      </c>
      <c r="F36" s="1">
        <f t="shared" si="3"/>
        <v>100</v>
      </c>
      <c r="G36" s="1">
        <f t="shared" si="0"/>
        <v>71.42857142857142</v>
      </c>
      <c r="H36" s="1">
        <f t="shared" si="4"/>
        <v>0</v>
      </c>
      <c r="I36" s="1">
        <f t="shared" si="1"/>
        <v>7.200000000000003</v>
      </c>
    </row>
    <row r="37" spans="1:9" ht="18.75" thickBot="1">
      <c r="A37" s="31" t="s">
        <v>35</v>
      </c>
      <c r="B37" s="52">
        <f>B31-B32-B34-B35-B33-B36</f>
        <v>4498.199999999999</v>
      </c>
      <c r="C37" s="52">
        <f>C31-C32-C34-C35-C33-C36</f>
        <v>6837.100000000003</v>
      </c>
      <c r="D37" s="52">
        <f>D31-D32-D34-D35-D33-D36</f>
        <v>3935.799999999992</v>
      </c>
      <c r="E37" s="1">
        <f>D37/D31*100</f>
        <v>17.76748511400928</v>
      </c>
      <c r="F37" s="1">
        <f t="shared" si="3"/>
        <v>87.49722111066633</v>
      </c>
      <c r="G37" s="1">
        <f t="shared" si="0"/>
        <v>57.56534203097791</v>
      </c>
      <c r="H37" s="1">
        <f>B37-D37</f>
        <v>562.4000000000069</v>
      </c>
      <c r="I37" s="1">
        <f t="shared" si="1"/>
        <v>2901.300000000011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677.5</v>
      </c>
      <c r="C41" s="56">
        <f>1079.9+40.7</f>
        <v>1120.6000000000001</v>
      </c>
      <c r="D41" s="57">
        <f>39.9+10-0.1+63.8+32.1+23.9+51.2+20.3+38.8+26.2+1.3</f>
        <v>307.40000000000003</v>
      </c>
      <c r="E41" s="3">
        <f>D41/D134*100</f>
        <v>0.08509604032123891</v>
      </c>
      <c r="F41" s="3">
        <f>D41/B41*100</f>
        <v>45.37269372693727</v>
      </c>
      <c r="G41" s="3">
        <f t="shared" si="0"/>
        <v>27.431733000178475</v>
      </c>
      <c r="H41" s="3">
        <f t="shared" si="4"/>
        <v>370.09999999999997</v>
      </c>
      <c r="I41" s="3">
        <f t="shared" si="1"/>
        <v>813.2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3552.9</v>
      </c>
      <c r="C43" s="56">
        <f>6105.1+0.1</f>
        <v>6105.200000000001</v>
      </c>
      <c r="D43" s="57">
        <f>179.7+225.2+3.4+199.4+211.8+7.4+5.4+7.6+190.5+3.4+230.5+100.1+236.3+13.2+11.9+20.5+199.9+0.1+2+33.2+238.5+1.1+16.6+248.3+10.5+35.6+4.4+8.2+8.5+228.9+3.5+278.7-0.2+3.7+234.4</f>
        <v>3202.2</v>
      </c>
      <c r="E43" s="3">
        <f>D43/D134*100</f>
        <v>0.886449382942977</v>
      </c>
      <c r="F43" s="3">
        <f>D43/B43*100</f>
        <v>90.12919023895971</v>
      </c>
      <c r="G43" s="3">
        <f aca="true" t="shared" si="5" ref="G43:G73">D43/C43*100</f>
        <v>52.45037017624319</v>
      </c>
      <c r="H43" s="3">
        <f>B43-D43</f>
        <v>350.7000000000003</v>
      </c>
      <c r="I43" s="3">
        <f aca="true" t="shared" si="6" ref="I43:I74">C43-D43</f>
        <v>2903.000000000001</v>
      </c>
    </row>
    <row r="44" spans="1:9" ht="18">
      <c r="A44" s="31" t="s">
        <v>3</v>
      </c>
      <c r="B44" s="52">
        <v>3094.9</v>
      </c>
      <c r="C44" s="53">
        <f>5484.1-124.7</f>
        <v>5359.400000000001</v>
      </c>
      <c r="D44" s="54">
        <f>179.7+201.3+187+211.8+190.5+230.5+236.3+199.9+0.1+218.5+248.3+8.2+228.5-0.1+273.7+231.2</f>
        <v>2845.3999999999996</v>
      </c>
      <c r="E44" s="1">
        <f>D44/D43*100</f>
        <v>88.85766035850352</v>
      </c>
      <c r="F44" s="1">
        <f aca="true" t="shared" si="7" ref="F44:F71">D44/B44*100</f>
        <v>91.93835018902064</v>
      </c>
      <c r="G44" s="1">
        <f t="shared" si="5"/>
        <v>53.091764003433205</v>
      </c>
      <c r="H44" s="1">
        <f aca="true" t="shared" si="8" ref="H44:H71">B44-D44</f>
        <v>249.50000000000045</v>
      </c>
      <c r="I44" s="1">
        <f t="shared" si="6"/>
        <v>2514.000000000001</v>
      </c>
    </row>
    <row r="45" spans="1:9" ht="18">
      <c r="A45" s="31" t="s">
        <v>2</v>
      </c>
      <c r="B45" s="52">
        <v>0.8</v>
      </c>
      <c r="C45" s="53">
        <v>1</v>
      </c>
      <c r="D45" s="54">
        <f>0.3</f>
        <v>0.3</v>
      </c>
      <c r="E45" s="1">
        <f>D45/D43*100</f>
        <v>0.00936855911560802</v>
      </c>
      <c r="F45" s="1">
        <f t="shared" si="7"/>
        <v>37.49999999999999</v>
      </c>
      <c r="G45" s="1">
        <f t="shared" si="5"/>
        <v>30</v>
      </c>
      <c r="H45" s="1">
        <f t="shared" si="8"/>
        <v>0.5</v>
      </c>
      <c r="I45" s="1">
        <f t="shared" si="6"/>
        <v>0.7</v>
      </c>
    </row>
    <row r="46" spans="1:9" ht="18">
      <c r="A46" s="31" t="s">
        <v>1</v>
      </c>
      <c r="B46" s="52">
        <v>21.9</v>
      </c>
      <c r="C46" s="53">
        <v>35.1</v>
      </c>
      <c r="D46" s="54">
        <f>3.2+3.4-0.1+3.7+3.6+3.5+3.2</f>
        <v>20.499999999999996</v>
      </c>
      <c r="E46" s="1">
        <f>D46/D43*100</f>
        <v>0.6401848728998812</v>
      </c>
      <c r="F46" s="1">
        <f t="shared" si="7"/>
        <v>93.60730593607305</v>
      </c>
      <c r="G46" s="1">
        <f t="shared" si="5"/>
        <v>58.404558404558394</v>
      </c>
      <c r="H46" s="1">
        <f t="shared" si="8"/>
        <v>1.4000000000000021</v>
      </c>
      <c r="I46" s="1">
        <f t="shared" si="6"/>
        <v>14.600000000000005</v>
      </c>
    </row>
    <row r="47" spans="1:9" ht="18">
      <c r="A47" s="31" t="s">
        <v>0</v>
      </c>
      <c r="B47" s="52">
        <v>212.2</v>
      </c>
      <c r="C47" s="53">
        <f>358+23.1</f>
        <v>381.1</v>
      </c>
      <c r="D47" s="54">
        <f>23.1+2.7+0.5+0.4+5.2+0.6+99.9+12.6+20.5-0.1+2+19.6+1.1+0.5+4.4+0.4+3.4</f>
        <v>196.8</v>
      </c>
      <c r="E47" s="1">
        <f>D47/D43*100</f>
        <v>6.145774779838861</v>
      </c>
      <c r="F47" s="1">
        <f t="shared" si="7"/>
        <v>92.74269557021678</v>
      </c>
      <c r="G47" s="1">
        <f t="shared" si="5"/>
        <v>51.639989504067174</v>
      </c>
      <c r="H47" s="1">
        <f t="shared" si="8"/>
        <v>15.399999999999977</v>
      </c>
      <c r="I47" s="1">
        <f t="shared" si="6"/>
        <v>184.3</v>
      </c>
    </row>
    <row r="48" spans="1:9" ht="18.75" thickBot="1">
      <c r="A48" s="31" t="s">
        <v>35</v>
      </c>
      <c r="B48" s="53">
        <f>B43-B44-B47-B46-B45</f>
        <v>223.1</v>
      </c>
      <c r="C48" s="53">
        <f>C43-C44-C47-C46-C45</f>
        <v>328.60000000000014</v>
      </c>
      <c r="D48" s="53">
        <f>D43-D44-D47-D46-D45</f>
        <v>139.20000000000016</v>
      </c>
      <c r="E48" s="1">
        <f>D48/D43*100</f>
        <v>4.347011429642126</v>
      </c>
      <c r="F48" s="1">
        <f t="shared" si="7"/>
        <v>62.393545495293665</v>
      </c>
      <c r="G48" s="1">
        <f t="shared" si="5"/>
        <v>42.36153377967136</v>
      </c>
      <c r="H48" s="1">
        <f t="shared" si="8"/>
        <v>83.89999999999984</v>
      </c>
      <c r="I48" s="1">
        <f t="shared" si="6"/>
        <v>189.39999999999998</v>
      </c>
    </row>
    <row r="49" spans="1:9" ht="18.75" thickBot="1">
      <c r="A49" s="30" t="s">
        <v>4</v>
      </c>
      <c r="B49" s="55">
        <v>7431.1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</f>
        <v>6556.900000000001</v>
      </c>
      <c r="E49" s="3">
        <f>D49/D134*100</f>
        <v>1.81511459590869</v>
      </c>
      <c r="F49" s="3">
        <f>D49/B49*100</f>
        <v>88.23592738625507</v>
      </c>
      <c r="G49" s="3">
        <f t="shared" si="5"/>
        <v>54.009818619133135</v>
      </c>
      <c r="H49" s="3">
        <f>B49-D49</f>
        <v>874.1999999999998</v>
      </c>
      <c r="I49" s="3">
        <f t="shared" si="6"/>
        <v>5583.299999999998</v>
      </c>
    </row>
    <row r="50" spans="1:9" ht="18">
      <c r="A50" s="31" t="s">
        <v>3</v>
      </c>
      <c r="B50" s="52">
        <v>4658.8</v>
      </c>
      <c r="C50" s="53">
        <f>7727-234.9</f>
        <v>7492.1</v>
      </c>
      <c r="D50" s="54">
        <f>282.8+343.5+279.8+360.5+269.9+364.8-0.1+7.2+231.6+28.9+358.6+269.6+381.2-0.1+7.2+297.2+563.3+0.1+313.9</f>
        <v>4359.9</v>
      </c>
      <c r="E50" s="1">
        <f>D50/D49*100</f>
        <v>66.49331238847626</v>
      </c>
      <c r="F50" s="1">
        <f t="shared" si="7"/>
        <v>93.58418476860993</v>
      </c>
      <c r="G50" s="1">
        <f t="shared" si="5"/>
        <v>58.193296939442874</v>
      </c>
      <c r="H50" s="1">
        <f t="shared" si="8"/>
        <v>298.90000000000055</v>
      </c>
      <c r="I50" s="1">
        <f t="shared" si="6"/>
        <v>3132.2000000000007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172</v>
      </c>
      <c r="C52" s="53">
        <v>325</v>
      </c>
      <c r="D52" s="54">
        <f>2.4+4.2+4.2+8.7+3.1+5.2-0.1+2.3+6.7+7.1+0.1+3.9+3.5+21.5+2.5-0.1+4.3+17.5</f>
        <v>97.00000000000001</v>
      </c>
      <c r="E52" s="1">
        <f>D52/D49*100</f>
        <v>1.4793576232670926</v>
      </c>
      <c r="F52" s="1">
        <f t="shared" si="7"/>
        <v>56.39534883720931</v>
      </c>
      <c r="G52" s="1">
        <f t="shared" si="5"/>
        <v>29.84615384615385</v>
      </c>
      <c r="H52" s="1">
        <f t="shared" si="8"/>
        <v>74.99999999999999</v>
      </c>
      <c r="I52" s="1">
        <f t="shared" si="6"/>
        <v>228</v>
      </c>
    </row>
    <row r="53" spans="1:9" ht="18">
      <c r="A53" s="31" t="s">
        <v>0</v>
      </c>
      <c r="B53" s="52">
        <v>235.4</v>
      </c>
      <c r="C53" s="53">
        <v>534.1</v>
      </c>
      <c r="D53" s="54">
        <f>6+11+5+10.4+0.1+20.8+16+0.1+76.5+39.2+7.7+0.3+8.1+0.1+0.2+12-0.1+0.1+4.7+0.1+6.4+2.7</f>
        <v>227.39999999999992</v>
      </c>
      <c r="E53" s="1">
        <f>D53/D49*100</f>
        <v>3.4681023044426467</v>
      </c>
      <c r="F53" s="1">
        <f t="shared" si="7"/>
        <v>96.60152931180966</v>
      </c>
      <c r="G53" s="1">
        <f t="shared" si="5"/>
        <v>42.57629657367533</v>
      </c>
      <c r="H53" s="1">
        <f t="shared" si="8"/>
        <v>8.000000000000085</v>
      </c>
      <c r="I53" s="1">
        <f t="shared" si="6"/>
        <v>306.7000000000001</v>
      </c>
    </row>
    <row r="54" spans="1:9" ht="18.75" thickBot="1">
      <c r="A54" s="31" t="s">
        <v>35</v>
      </c>
      <c r="B54" s="53">
        <f>B49-B50-B53-B52-B51</f>
        <v>2364.9</v>
      </c>
      <c r="C54" s="53">
        <f>C49-C50-C53-C52-C51</f>
        <v>3779.2999999999984</v>
      </c>
      <c r="D54" s="53">
        <f>D49-D50-D53-D52-D51</f>
        <v>1872.600000000001</v>
      </c>
      <c r="E54" s="1">
        <f>D54/D49*100</f>
        <v>28.559227683814008</v>
      </c>
      <c r="F54" s="1">
        <f t="shared" si="7"/>
        <v>79.18305213751114</v>
      </c>
      <c r="G54" s="1">
        <f t="shared" si="5"/>
        <v>49.54885825417411</v>
      </c>
      <c r="H54" s="1">
        <f t="shared" si="8"/>
        <v>492.29999999999905</v>
      </c>
      <c r="I54" s="1">
        <f>C54-D54</f>
        <v>1906.6999999999973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2352.4</v>
      </c>
      <c r="C56" s="56">
        <f>3908.9-890.1</f>
        <v>3018.8</v>
      </c>
      <c r="D56" s="57">
        <f>128-60.9+102.5+11.8+75.2+16.7+4.5+87.9+0.1+68.6+30.5+35.2+2.4+30+93-9.8+0.1+1.7+68.5+10.2+1.8+24.5+103.7+27.9-0.2+10.2+8.1+67+7.8+116.4+1.9+0.1+112.6+7.7+3.6+49.7+2.7+83+1.2+238+33+52.1+52.4+257</f>
        <v>1958.4</v>
      </c>
      <c r="E56" s="3">
        <f>D56/D134*100</f>
        <v>0.5421343050263964</v>
      </c>
      <c r="F56" s="3">
        <f>D56/B56*100</f>
        <v>83.25114776398573</v>
      </c>
      <c r="G56" s="3">
        <f t="shared" si="5"/>
        <v>64.87345965284219</v>
      </c>
      <c r="H56" s="3">
        <f>B56-D56</f>
        <v>394</v>
      </c>
      <c r="I56" s="3">
        <f t="shared" si="6"/>
        <v>1060.4</v>
      </c>
    </row>
    <row r="57" spans="1:9" ht="18">
      <c r="A57" s="31" t="s">
        <v>3</v>
      </c>
      <c r="B57" s="52">
        <v>1272</v>
      </c>
      <c r="C57" s="53">
        <f>2589.6-887.6</f>
        <v>1702</v>
      </c>
      <c r="D57" s="54">
        <f>128-60.9+102.5+75.2+87.9+68.6+30+93+68.5+96.9-0.1+67+116.4+112.6+49.7+83+52.4</f>
        <v>1170.7</v>
      </c>
      <c r="E57" s="1">
        <f>D57/D56*100</f>
        <v>59.77839052287581</v>
      </c>
      <c r="F57" s="1">
        <f t="shared" si="7"/>
        <v>92.03616352201259</v>
      </c>
      <c r="G57" s="1">
        <f t="shared" si="5"/>
        <v>68.78378378378379</v>
      </c>
      <c r="H57" s="1">
        <f t="shared" si="8"/>
        <v>101.29999999999995</v>
      </c>
      <c r="I57" s="1">
        <f t="shared" si="6"/>
        <v>531.3</v>
      </c>
    </row>
    <row r="58" spans="1:9" ht="18">
      <c r="A58" s="31" t="s">
        <v>1</v>
      </c>
      <c r="B58" s="52">
        <v>126</v>
      </c>
      <c r="C58" s="53">
        <v>188.9</v>
      </c>
      <c r="D58" s="54">
        <f>33+49</f>
        <v>82</v>
      </c>
      <c r="E58" s="1">
        <f>D58/D56*100</f>
        <v>4.187091503267974</v>
      </c>
      <c r="F58" s="1">
        <f t="shared" si="7"/>
        <v>65.07936507936508</v>
      </c>
      <c r="G58" s="1">
        <f t="shared" si="5"/>
        <v>43.409211222869246</v>
      </c>
      <c r="H58" s="1">
        <f t="shared" si="8"/>
        <v>44</v>
      </c>
      <c r="I58" s="1">
        <f t="shared" si="6"/>
        <v>106.9</v>
      </c>
    </row>
    <row r="59" spans="1:9" ht="18">
      <c r="A59" s="31" t="s">
        <v>0</v>
      </c>
      <c r="B59" s="52">
        <v>133.5</v>
      </c>
      <c r="C59" s="53">
        <f>297.4-9.5</f>
        <v>287.9</v>
      </c>
      <c r="D59" s="54">
        <f>4.5+4.5+30.5+35.2+10+24.5+10.2+0.1+1.9+1.8+3.1</f>
        <v>126.3</v>
      </c>
      <c r="E59" s="1">
        <f>D59/D56*100</f>
        <v>6.449142156862744</v>
      </c>
      <c r="F59" s="1">
        <f t="shared" si="7"/>
        <v>94.6067415730337</v>
      </c>
      <c r="G59" s="1">
        <f t="shared" si="5"/>
        <v>43.86939909690865</v>
      </c>
      <c r="H59" s="1">
        <f t="shared" si="8"/>
        <v>7.200000000000003</v>
      </c>
      <c r="I59" s="1">
        <f t="shared" si="6"/>
        <v>161.59999999999997</v>
      </c>
    </row>
    <row r="60" spans="1:9" ht="18">
      <c r="A60" s="31" t="s">
        <v>15</v>
      </c>
      <c r="B60" s="52">
        <v>728.7</v>
      </c>
      <c r="C60" s="53">
        <v>728.7</v>
      </c>
      <c r="D60" s="54">
        <f>238+257</f>
        <v>495</v>
      </c>
      <c r="E60" s="1">
        <f>D60/D56*100</f>
        <v>25.275735294117645</v>
      </c>
      <c r="F60" s="1">
        <f t="shared" si="7"/>
        <v>67.92918896665294</v>
      </c>
      <c r="G60" s="1">
        <f t="shared" si="5"/>
        <v>67.92918896665294</v>
      </c>
      <c r="H60" s="1">
        <f t="shared" si="8"/>
        <v>233.70000000000005</v>
      </c>
      <c r="I60" s="1">
        <f t="shared" si="6"/>
        <v>233.70000000000005</v>
      </c>
    </row>
    <row r="61" spans="1:9" ht="18.75" thickBot="1">
      <c r="A61" s="31" t="s">
        <v>35</v>
      </c>
      <c r="B61" s="53">
        <f>B56-B57-B59-B60-B58</f>
        <v>92.20000000000005</v>
      </c>
      <c r="C61" s="53">
        <f>C56-C57-C59-C60-C58</f>
        <v>111.30000000000004</v>
      </c>
      <c r="D61" s="53">
        <f>D56-D57-D59-D60-D58</f>
        <v>84.40000000000009</v>
      </c>
      <c r="E61" s="1">
        <f>D61/D56*100</f>
        <v>4.309640522875821</v>
      </c>
      <c r="F61" s="1">
        <f t="shared" si="7"/>
        <v>91.54013015184387</v>
      </c>
      <c r="G61" s="1">
        <f t="shared" si="5"/>
        <v>75.83108715184193</v>
      </c>
      <c r="H61" s="1">
        <f t="shared" si="8"/>
        <v>7.7999999999999545</v>
      </c>
      <c r="I61" s="1">
        <f t="shared" si="6"/>
        <v>26.89999999999995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273.6</v>
      </c>
      <c r="C66" s="56">
        <f>C67+C68</f>
        <v>460</v>
      </c>
      <c r="D66" s="57">
        <f>SUM(D67:D68)</f>
        <v>1.4</v>
      </c>
      <c r="E66" s="44">
        <f>D66/D134*100</f>
        <v>0.00038755516086445813</v>
      </c>
      <c r="F66" s="118">
        <f>D66/B66*100</f>
        <v>0.5116959064327484</v>
      </c>
      <c r="G66" s="3">
        <f t="shared" si="5"/>
        <v>0.30434782608695654</v>
      </c>
      <c r="H66" s="3">
        <f>B66-D66</f>
        <v>272.20000000000005</v>
      </c>
      <c r="I66" s="3">
        <f t="shared" si="6"/>
        <v>458.6</v>
      </c>
    </row>
    <row r="67" spans="1:9" ht="18">
      <c r="A67" s="31" t="s">
        <v>8</v>
      </c>
      <c r="B67" s="52">
        <v>161.1</v>
      </c>
      <c r="C67" s="53">
        <v>257.4</v>
      </c>
      <c r="D67" s="54">
        <f>1.4</f>
        <v>1.4</v>
      </c>
      <c r="E67" s="1"/>
      <c r="F67" s="1">
        <f t="shared" si="7"/>
        <v>0.8690254500310366</v>
      </c>
      <c r="G67" s="1">
        <f t="shared" si="5"/>
        <v>0.5439005439005439</v>
      </c>
      <c r="H67" s="1">
        <f t="shared" si="8"/>
        <v>159.7</v>
      </c>
      <c r="I67" s="1">
        <f t="shared" si="6"/>
        <v>255.99999999999997</v>
      </c>
    </row>
    <row r="68" spans="1:9" ht="18.75" thickBot="1">
      <c r="A68" s="31" t="s">
        <v>9</v>
      </c>
      <c r="B68" s="52">
        <v>112.5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112.5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233.3</v>
      </c>
      <c r="C74" s="72">
        <v>400</v>
      </c>
      <c r="D74" s="73"/>
      <c r="E74" s="51"/>
      <c r="F74" s="51"/>
      <c r="G74" s="51"/>
      <c r="H74" s="51">
        <f>B74-D74</f>
        <v>233.3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27699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</f>
        <v>23762.800000000007</v>
      </c>
      <c r="E87" s="3">
        <f>D87/D134*100</f>
        <v>6.578139840421393</v>
      </c>
      <c r="F87" s="3">
        <f aca="true" t="shared" si="11" ref="F87:F92">D87/B87*100</f>
        <v>85.78937867793064</v>
      </c>
      <c r="G87" s="3">
        <f t="shared" si="9"/>
        <v>52.84967640059606</v>
      </c>
      <c r="H87" s="3">
        <f aca="true" t="shared" si="12" ref="H87:H92">B87-D87</f>
        <v>3936.1999999999935</v>
      </c>
      <c r="I87" s="3">
        <f t="shared" si="10"/>
        <v>21200.199999999993</v>
      </c>
    </row>
    <row r="88" spans="1:9" ht="18">
      <c r="A88" s="31" t="s">
        <v>3</v>
      </c>
      <c r="B88" s="52">
        <v>22655.6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</f>
        <v>20213</v>
      </c>
      <c r="E88" s="1">
        <f>D88/D87*100</f>
        <v>85.06152473614218</v>
      </c>
      <c r="F88" s="1">
        <f t="shared" si="11"/>
        <v>89.21855964971134</v>
      </c>
      <c r="G88" s="1">
        <f t="shared" si="9"/>
        <v>53.174893389771206</v>
      </c>
      <c r="H88" s="1">
        <f t="shared" si="12"/>
        <v>2442.5999999999985</v>
      </c>
      <c r="I88" s="1">
        <f t="shared" si="10"/>
        <v>17799.300000000003</v>
      </c>
    </row>
    <row r="89" spans="1:9" ht="18">
      <c r="A89" s="31" t="s">
        <v>33</v>
      </c>
      <c r="B89" s="52">
        <v>1304.9</v>
      </c>
      <c r="C89" s="53">
        <f>1866.3+51.3</f>
        <v>1917.6</v>
      </c>
      <c r="D89" s="54">
        <f>125+55.5+51.3+1.7-0.1+10.4+5.3+280.6+162.7+2.2+25.3+117.8+56.8+64.4+1.4+31+7.8+37.2+1.9+36.4</f>
        <v>1074.6000000000001</v>
      </c>
      <c r="E89" s="1">
        <f>D89/D87*100</f>
        <v>4.522194354200683</v>
      </c>
      <c r="F89" s="1">
        <f t="shared" si="11"/>
        <v>82.35113801823894</v>
      </c>
      <c r="G89" s="1">
        <f t="shared" si="9"/>
        <v>56.03879849812267</v>
      </c>
      <c r="H89" s="1">
        <f t="shared" si="12"/>
        <v>230.29999999999995</v>
      </c>
      <c r="I89" s="1">
        <f t="shared" si="10"/>
        <v>842.9999999999998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3738.5000000000014</v>
      </c>
      <c r="C91" s="53">
        <f>C87-C88-C89-C90</f>
        <v>5033.099999999997</v>
      </c>
      <c r="D91" s="53">
        <f>D87-D88-D89-D90</f>
        <v>2475.200000000006</v>
      </c>
      <c r="E91" s="1">
        <f>D91/D87*100</f>
        <v>10.416280909657134</v>
      </c>
      <c r="F91" s="1">
        <f t="shared" si="11"/>
        <v>66.20837234184847</v>
      </c>
      <c r="G91" s="1">
        <f>D91/C91*100</f>
        <v>49.17843873557068</v>
      </c>
      <c r="H91" s="1">
        <f t="shared" si="12"/>
        <v>1263.2999999999952</v>
      </c>
      <c r="I91" s="1">
        <f>C91-D91</f>
        <v>2557.8999999999905</v>
      </c>
    </row>
    <row r="92" spans="1:9" ht="19.5" thickBot="1">
      <c r="A92" s="15" t="s">
        <v>12</v>
      </c>
      <c r="B92" s="64">
        <v>27688.1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</f>
        <v>18522.700000000004</v>
      </c>
      <c r="E92" s="3">
        <f>D92/D134*100</f>
        <v>5.127548555817215</v>
      </c>
      <c r="F92" s="3">
        <f t="shared" si="11"/>
        <v>66.89769251050092</v>
      </c>
      <c r="G92" s="3">
        <f>D92/C92*100</f>
        <v>42.797959306275054</v>
      </c>
      <c r="H92" s="3">
        <f t="shared" si="12"/>
        <v>9165.399999999994</v>
      </c>
      <c r="I92" s="3">
        <f>C92-D92</f>
        <v>24756.699999999997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3883.7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111.6+19.4+112.6-0.1+0.9+99.9+111.6+6.9+7.2+47.9+73.3+25.9+28.7+425.6+10.7+10.8+95.5+241.7+128.5+184.1+105.5+17.7+1.5+12.7+140+2.5+123.7+119.6+27+29.2+112.9+89.4+83.4+25.6+9.6+151.6+27.2+186.9+4.9+4+23.9+115.6+3.9+14.3+5.6</f>
        <v>3180.9</v>
      </c>
      <c r="E98" s="27">
        <f>D98/D134*100</f>
        <v>0.8805530079955394</v>
      </c>
      <c r="F98" s="27">
        <f>D98/B98*100</f>
        <v>81.90385457167136</v>
      </c>
      <c r="G98" s="27">
        <f aca="true" t="shared" si="13" ref="G98:G111">D98/C98*100</f>
        <v>51.60615204906065</v>
      </c>
      <c r="H98" s="27">
        <f>B98-D98</f>
        <v>702.7999999999997</v>
      </c>
      <c r="I98" s="27">
        <f aca="true" t="shared" si="14" ref="I98:I132">C98-D98</f>
        <v>2982.9</v>
      </c>
    </row>
    <row r="99" spans="1:9" ht="18">
      <c r="A99" s="95" t="s">
        <v>66</v>
      </c>
      <c r="B99" s="105">
        <v>15.2</v>
      </c>
      <c r="C99" s="103">
        <f>23.5-2.3-6</f>
        <v>15.2</v>
      </c>
      <c r="D99" s="103">
        <f>12.7+2.5</f>
        <v>15.2</v>
      </c>
      <c r="E99" s="99">
        <f>D99/D98*100</f>
        <v>0.47785218020057213</v>
      </c>
      <c r="F99" s="1">
        <f>D99/B99*100</f>
        <v>100</v>
      </c>
      <c r="G99" s="99">
        <f>D99/C99*100</f>
        <v>100</v>
      </c>
      <c r="H99" s="99">
        <f>B99-D99</f>
        <v>0</v>
      </c>
      <c r="I99" s="99">
        <f t="shared" si="14"/>
        <v>0</v>
      </c>
    </row>
    <row r="100" spans="1:9" ht="18">
      <c r="A100" s="101" t="s">
        <v>65</v>
      </c>
      <c r="B100" s="85">
        <v>3592</v>
      </c>
      <c r="C100" s="54">
        <f>4699.6+1.8+903.3-10.8-3+21.3+0.1</f>
        <v>5612.300000000001</v>
      </c>
      <c r="D100" s="54">
        <f>111.4+112.6+0.9+99.8+111.4+47.6+73.3-0.9+24.7+28.7+415.6+4.4+7.7+94.7+205.4+127.9+182.3+101.7+1.5+137.1+2.5+115.1+119.6+27+29+84.6-0.1+88.5+83.4+12.5+9.5+150.1+22.5+186.2+4.9+4+114.4+3.8+14.2</f>
        <v>2959.5000000000005</v>
      </c>
      <c r="E100" s="1">
        <f>D100/D98*100</f>
        <v>93.03970574365746</v>
      </c>
      <c r="F100" s="1">
        <f aca="true" t="shared" si="15" ref="F100:F132">D100/B100*100</f>
        <v>82.39142538975503</v>
      </c>
      <c r="G100" s="1">
        <f t="shared" si="13"/>
        <v>52.732391354703054</v>
      </c>
      <c r="H100" s="1">
        <f>B100-D100</f>
        <v>632.4999999999995</v>
      </c>
      <c r="I100" s="1">
        <f t="shared" si="14"/>
        <v>2652.8000000000006</v>
      </c>
    </row>
    <row r="101" spans="1:9" ht="18.75" thickBot="1">
      <c r="A101" s="102" t="s">
        <v>35</v>
      </c>
      <c r="B101" s="104">
        <f>B98-B99-B100</f>
        <v>276.5</v>
      </c>
      <c r="C101" s="104">
        <f>C98-C99-C100</f>
        <v>536.2999999999993</v>
      </c>
      <c r="D101" s="104">
        <f>D98-D99-D100</f>
        <v>206.19999999999982</v>
      </c>
      <c r="E101" s="100">
        <f>D101/D98*100</f>
        <v>6.482442076141967</v>
      </c>
      <c r="F101" s="100">
        <f t="shared" si="15"/>
        <v>74.57504520795653</v>
      </c>
      <c r="G101" s="100">
        <f t="shared" si="13"/>
        <v>38.44862949841508</v>
      </c>
      <c r="H101" s="100">
        <f>B101-D101</f>
        <v>70.30000000000018</v>
      </c>
      <c r="I101" s="100">
        <f t="shared" si="14"/>
        <v>330.09999999999945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9903.899999999998</v>
      </c>
      <c r="C102" s="97">
        <f>SUM(C103:C131)-C110-C114+C132-C127-C128-C104-C107</f>
        <v>16857.2</v>
      </c>
      <c r="D102" s="97">
        <f>SUM(D103:D131)-D110-D114+D132-D127-D128-D104-D107</f>
        <v>6730.200000000001</v>
      </c>
      <c r="E102" s="98">
        <f>D102/D134*100</f>
        <v>1.863088388321412</v>
      </c>
      <c r="F102" s="98">
        <f>D102/B102*100</f>
        <v>67.95504801138948</v>
      </c>
      <c r="G102" s="98">
        <f t="shared" si="13"/>
        <v>39.92477991600028</v>
      </c>
      <c r="H102" s="98">
        <f>B102-D102</f>
        <v>3173.699999999997</v>
      </c>
      <c r="I102" s="98">
        <f t="shared" si="14"/>
        <v>10127</v>
      </c>
    </row>
    <row r="103" spans="1:9" ht="37.5">
      <c r="A103" s="36" t="s">
        <v>69</v>
      </c>
      <c r="B103" s="82">
        <v>1098.4</v>
      </c>
      <c r="C103" s="78">
        <v>1869.9</v>
      </c>
      <c r="D103" s="83">
        <f>1.4+20.1+85.2+143.2+49+97.4+39.5+2.1+10</f>
        <v>447.9</v>
      </c>
      <c r="E103" s="6">
        <f>D103/D102*100</f>
        <v>6.655077115093161</v>
      </c>
      <c r="F103" s="6">
        <f t="shared" si="15"/>
        <v>40.7774945375091</v>
      </c>
      <c r="G103" s="6">
        <f t="shared" si="13"/>
        <v>23.953152575004008</v>
      </c>
      <c r="H103" s="6">
        <f aca="true" t="shared" si="16" ref="H103:H132">B103-D103</f>
        <v>650.5000000000001</v>
      </c>
      <c r="I103" s="6">
        <f t="shared" si="14"/>
        <v>1422</v>
      </c>
    </row>
    <row r="104" spans="1:9" ht="18">
      <c r="A104" s="31" t="s">
        <v>33</v>
      </c>
      <c r="B104" s="85">
        <v>725.5</v>
      </c>
      <c r="C104" s="54">
        <f>1242.6+0.7</f>
        <v>1243.3</v>
      </c>
      <c r="D104" s="86">
        <f>1.4+85.2+143.2+49+2.1+10</f>
        <v>290.90000000000003</v>
      </c>
      <c r="E104" s="1"/>
      <c r="F104" s="1">
        <f t="shared" si="15"/>
        <v>40.09648518263268</v>
      </c>
      <c r="G104" s="1">
        <f t="shared" si="13"/>
        <v>23.397410118233736</v>
      </c>
      <c r="H104" s="1">
        <f t="shared" si="16"/>
        <v>434.59999999999997</v>
      </c>
      <c r="I104" s="1">
        <f t="shared" si="14"/>
        <v>952.3999999999999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19.8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19.8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43.7</v>
      </c>
      <c r="C108" s="71">
        <v>75.5</v>
      </c>
      <c r="D108" s="83">
        <f>5.5+5.5+5.5-0.1+5.5+5.5+5.5</f>
        <v>32.9</v>
      </c>
      <c r="E108" s="6">
        <f>D108/D102*100</f>
        <v>0.48884134201063856</v>
      </c>
      <c r="F108" s="6">
        <f t="shared" si="15"/>
        <v>75.28604118993134</v>
      </c>
      <c r="G108" s="6">
        <f t="shared" si="13"/>
        <v>43.57615894039735</v>
      </c>
      <c r="H108" s="6">
        <f t="shared" si="16"/>
        <v>10.800000000000004</v>
      </c>
      <c r="I108" s="6">
        <f t="shared" si="14"/>
        <v>42.6</v>
      </c>
    </row>
    <row r="109" spans="1:9" ht="37.5">
      <c r="A109" s="19" t="s">
        <v>47</v>
      </c>
      <c r="B109" s="84">
        <v>622.9</v>
      </c>
      <c r="C109" s="71">
        <v>1050</v>
      </c>
      <c r="D109" s="83">
        <f>149.7+2.5+4.1+81.3+2.1+67.3+8+8.2+93.7+3.3+1.1</f>
        <v>421.29999999999995</v>
      </c>
      <c r="E109" s="6">
        <f>D109/D102*100</f>
        <v>6.2598436896377505</v>
      </c>
      <c r="F109" s="6">
        <f t="shared" si="15"/>
        <v>67.63525445496869</v>
      </c>
      <c r="G109" s="6">
        <f t="shared" si="13"/>
        <v>40.12380952380952</v>
      </c>
      <c r="H109" s="6">
        <f t="shared" si="16"/>
        <v>201.60000000000002</v>
      </c>
      <c r="I109" s="6">
        <f t="shared" si="14"/>
        <v>628.7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74.5</v>
      </c>
      <c r="C111" s="63">
        <f>51.6+22.9</f>
        <v>74.5</v>
      </c>
      <c r="D111" s="87">
        <f>22.9</f>
        <v>22.9</v>
      </c>
      <c r="E111" s="21">
        <f>D111/D102*100</f>
        <v>0.34025734747852954</v>
      </c>
      <c r="F111" s="6">
        <f t="shared" si="15"/>
        <v>30.738255033557042</v>
      </c>
      <c r="G111" s="21">
        <f t="shared" si="13"/>
        <v>30.738255033557042</v>
      </c>
      <c r="H111" s="21">
        <f t="shared" si="16"/>
        <v>51.6</v>
      </c>
      <c r="I111" s="21">
        <f t="shared" si="14"/>
        <v>51.6</v>
      </c>
    </row>
    <row r="112" spans="1:9" ht="37.5">
      <c r="A112" s="19" t="s">
        <v>60</v>
      </c>
      <c r="B112" s="84">
        <v>132.6</v>
      </c>
      <c r="C112" s="71">
        <f>488.6-250</f>
        <v>238.60000000000002</v>
      </c>
      <c r="D112" s="83">
        <f>4.9+70</f>
        <v>74.9</v>
      </c>
      <c r="E112" s="6">
        <f>D112/D102*100</f>
        <v>1.1128941190454964</v>
      </c>
      <c r="F112" s="6">
        <f>D112/B112*100</f>
        <v>56.48567119155356</v>
      </c>
      <c r="G112" s="6">
        <f aca="true" t="shared" si="17" ref="G112:G132">D112/C112*100</f>
        <v>31.391450125733446</v>
      </c>
      <c r="H112" s="6">
        <f t="shared" si="16"/>
        <v>57.69999999999999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113.7</v>
      </c>
      <c r="C113" s="63">
        <v>153.4</v>
      </c>
      <c r="D113" s="83">
        <f>13.5+13.4+14.3+0.8+6.9+0.4+13.5-0.1+0.8+0.5+2+13.5-0.1+0.1+13.9+0.3</f>
        <v>93.7</v>
      </c>
      <c r="E113" s="6">
        <f>D113/D102*100</f>
        <v>1.3922320287658612</v>
      </c>
      <c r="F113" s="6">
        <f t="shared" si="15"/>
        <v>82.4098504837291</v>
      </c>
      <c r="G113" s="6">
        <f t="shared" si="17"/>
        <v>61.08213820078227</v>
      </c>
      <c r="H113" s="6">
        <f t="shared" si="16"/>
        <v>20</v>
      </c>
      <c r="I113" s="6">
        <f t="shared" si="14"/>
        <v>59.7</v>
      </c>
    </row>
    <row r="114" spans="1:9" s="41" customFormat="1" ht="18">
      <c r="A114" s="42" t="s">
        <v>54</v>
      </c>
      <c r="B114" s="85">
        <v>94.3</v>
      </c>
      <c r="C114" s="54">
        <v>121.2</v>
      </c>
      <c r="D114" s="86">
        <f>13.5+13.4+13.5+13.5+13.4+13.5</f>
        <v>80.8</v>
      </c>
      <c r="E114" s="1"/>
      <c r="F114" s="1">
        <f t="shared" si="15"/>
        <v>85.68398727465537</v>
      </c>
      <c r="G114" s="1">
        <f t="shared" si="17"/>
        <v>66.66666666666666</v>
      </c>
      <c r="H114" s="1">
        <f t="shared" si="16"/>
        <v>13.5</v>
      </c>
      <c r="I114" s="1">
        <f t="shared" si="14"/>
        <v>40.400000000000006</v>
      </c>
    </row>
    <row r="115" spans="1:9" s="2" customFormat="1" ht="18.75">
      <c r="A115" s="19" t="s">
        <v>25</v>
      </c>
      <c r="B115" s="84">
        <v>194.7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194.7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0.29568214911889684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1624.4</v>
      </c>
      <c r="C117" s="63">
        <v>1700.1</v>
      </c>
      <c r="D117" s="87">
        <f>196.6+25+11.8+12.7+6.1+3.1+261.8</f>
        <v>517.1</v>
      </c>
      <c r="E117" s="21">
        <f>D117/D102*100</f>
        <v>7.6832783572553565</v>
      </c>
      <c r="F117" s="6">
        <f t="shared" si="15"/>
        <v>31.833292292538783</v>
      </c>
      <c r="G117" s="6">
        <f t="shared" si="17"/>
        <v>30.415857890712317</v>
      </c>
      <c r="H117" s="6">
        <f t="shared" si="16"/>
        <v>1107.3000000000002</v>
      </c>
      <c r="I117" s="6">
        <f t="shared" si="14"/>
        <v>1183</v>
      </c>
    </row>
    <row r="118" spans="1:9" s="2" customFormat="1" ht="56.25">
      <c r="A118" s="19" t="s">
        <v>56</v>
      </c>
      <c r="B118" s="84">
        <v>131.3</v>
      </c>
      <c r="C118" s="63">
        <f>157.1+1.2</f>
        <v>158.29999999999998</v>
      </c>
      <c r="D118" s="87">
        <f>3.8+0.6</f>
        <v>4.3999999999999995</v>
      </c>
      <c r="E118" s="21">
        <f>D118/D102*100</f>
        <v>0.06537695759412795</v>
      </c>
      <c r="F118" s="6">
        <f t="shared" si="15"/>
        <v>3.3511043412033503</v>
      </c>
      <c r="G118" s="6">
        <f t="shared" si="17"/>
        <v>2.779532533164877</v>
      </c>
      <c r="H118" s="6">
        <f t="shared" si="16"/>
        <v>126.9</v>
      </c>
      <c r="I118" s="6">
        <f t="shared" si="14"/>
        <v>153.89999999999998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16.8+4.6+2.6+2.5+4.9+4.9</f>
        <v>36.3</v>
      </c>
      <c r="E120" s="21">
        <f>D120/D102*100</f>
        <v>0.5393599001515555</v>
      </c>
      <c r="F120" s="6">
        <f t="shared" si="15"/>
        <v>72.6</v>
      </c>
      <c r="G120" s="6">
        <f t="shared" si="17"/>
        <v>72.6</v>
      </c>
      <c r="H120" s="6">
        <f t="shared" si="16"/>
        <v>13.700000000000003</v>
      </c>
      <c r="I120" s="6">
        <f t="shared" si="14"/>
        <v>13.700000000000003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18.3+9.7</f>
        <v>28</v>
      </c>
      <c r="E121" s="21">
        <f>D121/D102*100</f>
        <v>0.41603518468990514</v>
      </c>
      <c r="F121" s="6">
        <f t="shared" si="15"/>
        <v>33.057851239669425</v>
      </c>
      <c r="G121" s="6">
        <f t="shared" si="17"/>
        <v>33.057851239669425</v>
      </c>
      <c r="H121" s="6">
        <f t="shared" si="16"/>
        <v>56.7</v>
      </c>
      <c r="I121" s="6">
        <f t="shared" si="14"/>
        <v>56.7</v>
      </c>
    </row>
    <row r="122" spans="1:9" s="2" customFormat="1" ht="18.75">
      <c r="A122" s="19" t="s">
        <v>75</v>
      </c>
      <c r="B122" s="84">
        <v>114.8</v>
      </c>
      <c r="C122" s="63">
        <v>178.8</v>
      </c>
      <c r="D122" s="87">
        <f>7.2+1.4+9.3+6.8+7.7+4.3+1.8+6+21.8+13.1+2.5</f>
        <v>81.89999999999999</v>
      </c>
      <c r="E122" s="21">
        <f>D122/D102*100</f>
        <v>1.2169029152179724</v>
      </c>
      <c r="F122" s="6">
        <f t="shared" si="15"/>
        <v>71.34146341463415</v>
      </c>
      <c r="G122" s="6">
        <f t="shared" si="17"/>
        <v>45.80536912751677</v>
      </c>
      <c r="H122" s="6">
        <f t="shared" si="16"/>
        <v>32.900000000000006</v>
      </c>
      <c r="I122" s="6">
        <f t="shared" si="14"/>
        <v>96.90000000000002</v>
      </c>
    </row>
    <row r="123" spans="1:9" s="2" customFormat="1" ht="35.25" customHeight="1">
      <c r="A123" s="19" t="s">
        <v>74</v>
      </c>
      <c r="B123" s="84">
        <v>36.3</v>
      </c>
      <c r="C123" s="63">
        <v>67.6</v>
      </c>
      <c r="D123" s="87">
        <f>0.5+1.5+0.1+14.8</f>
        <v>16.900000000000002</v>
      </c>
      <c r="E123" s="21">
        <f>D123/D102*100</f>
        <v>0.2511069507592642</v>
      </c>
      <c r="F123" s="6">
        <f t="shared" si="15"/>
        <v>46.55647382920111</v>
      </c>
      <c r="G123" s="6">
        <f t="shared" si="17"/>
        <v>25.000000000000007</v>
      </c>
      <c r="H123" s="6">
        <f t="shared" si="16"/>
        <v>19.399999999999995</v>
      </c>
      <c r="I123" s="6">
        <f t="shared" si="14"/>
        <v>50.69999999999999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510.2</v>
      </c>
      <c r="C126" s="63">
        <v>868.2</v>
      </c>
      <c r="D126" s="87">
        <f>21.4+1.2+34.6+22.6+3.4+31.2+5.1+22.6+3+44.8+0.2+32.7+27.3+30.6+3.7+29.7+4.3+33.6+0.1+0.1+6.3+25.5+0.4+38.4+0.1+0.3+0.6+29.7</f>
        <v>453.5000000000001</v>
      </c>
      <c r="E126" s="21">
        <f>D126/D102*100</f>
        <v>6.738284152031144</v>
      </c>
      <c r="F126" s="6">
        <f t="shared" si="15"/>
        <v>88.88671109368877</v>
      </c>
      <c r="G126" s="6">
        <f t="shared" si="17"/>
        <v>52.234508177839224</v>
      </c>
      <c r="H126" s="6">
        <f t="shared" si="16"/>
        <v>56.699999999999875</v>
      </c>
      <c r="I126" s="6">
        <f t="shared" si="14"/>
        <v>414.69999999999993</v>
      </c>
    </row>
    <row r="127" spans="1:9" s="41" customFormat="1" ht="18">
      <c r="A127" s="42" t="s">
        <v>54</v>
      </c>
      <c r="B127" s="85">
        <v>436</v>
      </c>
      <c r="C127" s="54">
        <v>747.1</v>
      </c>
      <c r="D127" s="86">
        <f>21.4+1.2+34.6+22.6+31.2+22.6+44.8+0.2+32.7+30.6+29.7+33.6+24.3+38.4+29.7</f>
        <v>397.6</v>
      </c>
      <c r="E127" s="1">
        <f>D127/D126*100</f>
        <v>87.67364939360527</v>
      </c>
      <c r="F127" s="1">
        <f>D127/B127*100</f>
        <v>91.19266055045873</v>
      </c>
      <c r="G127" s="1">
        <f t="shared" si="17"/>
        <v>53.219113907107484</v>
      </c>
      <c r="H127" s="1">
        <f t="shared" si="16"/>
        <v>38.39999999999998</v>
      </c>
      <c r="I127" s="1">
        <f t="shared" si="14"/>
        <v>349.5</v>
      </c>
    </row>
    <row r="128" spans="1:9" s="41" customFormat="1" ht="18">
      <c r="A128" s="31" t="s">
        <v>33</v>
      </c>
      <c r="B128" s="85">
        <v>15.7</v>
      </c>
      <c r="C128" s="54">
        <v>27.4</v>
      </c>
      <c r="D128" s="86">
        <f>3.4+3+2.7+1.6-0.1+0.1+0.1</f>
        <v>10.8</v>
      </c>
      <c r="E128" s="1">
        <f>D128/D126*100</f>
        <v>2.381477398015435</v>
      </c>
      <c r="F128" s="1">
        <f>D128/B128*100</f>
        <v>68.78980891719746</v>
      </c>
      <c r="G128" s="1">
        <f>D128/C128*100</f>
        <v>39.41605839416059</v>
      </c>
      <c r="H128" s="1">
        <f t="shared" si="16"/>
        <v>4.899999999999999</v>
      </c>
      <c r="I128" s="1">
        <f t="shared" si="14"/>
        <v>16.599999999999998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62.22697691004724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90+165.6+35</f>
        <v>290.6</v>
      </c>
      <c r="E130" s="21">
        <f>D130/D102*100</f>
        <v>4.317850881103087</v>
      </c>
      <c r="F130" s="119">
        <f>D130/B130*100</f>
        <v>61.0760823875578</v>
      </c>
      <c r="G130" s="6">
        <f t="shared" si="17"/>
        <v>61.0760823875578</v>
      </c>
      <c r="H130" s="6">
        <f t="shared" si="16"/>
        <v>185.2</v>
      </c>
      <c r="I130" s="6">
        <f t="shared" si="14"/>
        <v>185.2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14971.999999999998</v>
      </c>
      <c r="C133" s="88">
        <f>C41+C66+C69+C74+C76+C84+C98+C102+C96+C81+C94</f>
        <v>25001.600000000002</v>
      </c>
      <c r="D133" s="63">
        <f>D41+D66+D69+D74+D76+D84+D98+D102+D96+D81+D94</f>
        <v>10219.900000000001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405536.39999999997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361238.9000000002</v>
      </c>
      <c r="E134" s="40">
        <v>100</v>
      </c>
      <c r="F134" s="3">
        <f>D134/B134*100</f>
        <v>89.07681283357061</v>
      </c>
      <c r="G134" s="3">
        <f aca="true" t="shared" si="18" ref="G134:G140">D134/C134*100</f>
        <v>57.87601862920065</v>
      </c>
      <c r="H134" s="3">
        <f aca="true" t="shared" si="19" ref="H134:H140">B134-D134</f>
        <v>44297.49999999977</v>
      </c>
      <c r="I134" s="3">
        <f aca="true" t="shared" si="20" ref="I134:I140">C134-D134</f>
        <v>262920.9999999998</v>
      </c>
      <c r="K134" s="49"/>
      <c r="L134" s="50"/>
    </row>
    <row r="135" spans="1:12" ht="18.75">
      <c r="A135" s="25" t="s">
        <v>5</v>
      </c>
      <c r="B135" s="70">
        <f>B7+B18+B32+B50+B57+B88+B110+B114+B44+B127</f>
        <v>288321.5</v>
      </c>
      <c r="C135" s="70">
        <f>C7+C18+C32+C50+C57+C88+C110+C114+C44+C127</f>
        <v>430257.9</v>
      </c>
      <c r="D135" s="70">
        <f>D7+D18+D32+D50+D57+D88+D110+D114+D44+D127</f>
        <v>268853.3</v>
      </c>
      <c r="E135" s="6">
        <f>D135/D134*100</f>
        <v>74.4253456646003</v>
      </c>
      <c r="F135" s="6">
        <f aca="true" t="shared" si="21" ref="F135:F146">D135/B135*100</f>
        <v>93.24774600576092</v>
      </c>
      <c r="G135" s="6">
        <f t="shared" si="18"/>
        <v>62.486545860052765</v>
      </c>
      <c r="H135" s="6">
        <f t="shared" si="19"/>
        <v>19468.20000000001</v>
      </c>
      <c r="I135" s="20">
        <f t="shared" si="20"/>
        <v>161404.60000000003</v>
      </c>
      <c r="K135" s="49"/>
      <c r="L135" s="50"/>
    </row>
    <row r="136" spans="1:12" ht="18.75">
      <c r="A136" s="25" t="s">
        <v>0</v>
      </c>
      <c r="B136" s="71">
        <f>B10+B21+B34+B53+B59+B89+B47+B128+B104+B107</f>
        <v>35456.6</v>
      </c>
      <c r="C136" s="71">
        <f>C10+C21+C34+C53+C59+C89+C47+C128+C104+C107</f>
        <v>64923.7</v>
      </c>
      <c r="D136" s="71">
        <f>D10+D21+D34+D53+D59+D89+D47+D128+D104+D107</f>
        <v>32961.899999999994</v>
      </c>
      <c r="E136" s="6">
        <f>D136/D134*100</f>
        <v>9.124681754927273</v>
      </c>
      <c r="F136" s="6">
        <f t="shared" si="21"/>
        <v>92.96407438953537</v>
      </c>
      <c r="G136" s="6">
        <f t="shared" si="18"/>
        <v>50.77021180246967</v>
      </c>
      <c r="H136" s="6">
        <f t="shared" si="19"/>
        <v>2494.7000000000044</v>
      </c>
      <c r="I136" s="20">
        <f t="shared" si="20"/>
        <v>31961.800000000003</v>
      </c>
      <c r="K136" s="49"/>
      <c r="L136" s="106"/>
    </row>
    <row r="137" spans="1:12" ht="18.75">
      <c r="A137" s="25" t="s">
        <v>1</v>
      </c>
      <c r="B137" s="70">
        <f>B20+B9+B52+B46+B58+B33+B99</f>
        <v>11792.800000000001</v>
      </c>
      <c r="C137" s="70">
        <f>C20+C9+C52+C46+C58+C33+C99</f>
        <v>20504.5</v>
      </c>
      <c r="D137" s="70">
        <f>D20+D9+D52+D46+D58+D33+D99</f>
        <v>11168.900000000003</v>
      </c>
      <c r="E137" s="6">
        <f>D137/D134*100</f>
        <v>3.0918320258421774</v>
      </c>
      <c r="F137" s="6">
        <f t="shared" si="21"/>
        <v>94.70948375279833</v>
      </c>
      <c r="G137" s="6">
        <f t="shared" si="18"/>
        <v>54.47048208929749</v>
      </c>
      <c r="H137" s="6">
        <f t="shared" si="19"/>
        <v>623.8999999999978</v>
      </c>
      <c r="I137" s="20">
        <f t="shared" si="20"/>
        <v>9335.599999999997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5430.599999999999</v>
      </c>
      <c r="C138" s="70">
        <f>C11+C22+C100+C60+C36+C90</f>
        <v>8036.500000000001</v>
      </c>
      <c r="D138" s="70">
        <f>D11+D22+D100+D60+D36+D90</f>
        <v>4481.5</v>
      </c>
      <c r="E138" s="6">
        <f>D138/D134*100</f>
        <v>1.240591752438621</v>
      </c>
      <c r="F138" s="6">
        <f t="shared" si="21"/>
        <v>82.52310978529077</v>
      </c>
      <c r="G138" s="6">
        <f t="shared" si="18"/>
        <v>55.764325265973994</v>
      </c>
      <c r="H138" s="6">
        <f t="shared" si="19"/>
        <v>949.0999999999995</v>
      </c>
      <c r="I138" s="20">
        <f t="shared" si="20"/>
        <v>3555.000000000001</v>
      </c>
      <c r="K138" s="49"/>
      <c r="L138" s="106"/>
    </row>
    <row r="139" spans="1:12" ht="18.75">
      <c r="A139" s="25" t="s">
        <v>2</v>
      </c>
      <c r="B139" s="70">
        <f>B8+B19+B45+B51</f>
        <v>4748.7</v>
      </c>
      <c r="C139" s="70">
        <f>C8+C19+C45+C51</f>
        <v>7873.900000000001</v>
      </c>
      <c r="D139" s="70">
        <f>D8+D19+D45+D51</f>
        <v>2353.6999999999994</v>
      </c>
      <c r="E139" s="6">
        <f>D139/D134*100</f>
        <v>0.651563272947625</v>
      </c>
      <c r="F139" s="6">
        <f t="shared" si="21"/>
        <v>49.56514414471328</v>
      </c>
      <c r="G139" s="6">
        <f t="shared" si="18"/>
        <v>29.892429418712446</v>
      </c>
      <c r="H139" s="6">
        <f t="shared" si="19"/>
        <v>2395.0000000000005</v>
      </c>
      <c r="I139" s="20">
        <f t="shared" si="20"/>
        <v>5520.200000000001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59786.19999999996</v>
      </c>
      <c r="C140" s="70">
        <f>C134-C135-C136-C137-C138-C139</f>
        <v>92563.40000000001</v>
      </c>
      <c r="D140" s="70">
        <f>D134-D135-D136-D137-D138-D139</f>
        <v>41419.60000000022</v>
      </c>
      <c r="E140" s="6">
        <f>D140/D134*100</f>
        <v>11.465985529243996</v>
      </c>
      <c r="F140" s="6">
        <f t="shared" si="21"/>
        <v>69.27953273497938</v>
      </c>
      <c r="G140" s="46">
        <f t="shared" si="18"/>
        <v>44.74727592115265</v>
      </c>
      <c r="H140" s="6">
        <f t="shared" si="19"/>
        <v>18366.599999999744</v>
      </c>
      <c r="I140" s="6">
        <f t="shared" si="20"/>
        <v>51143.79999999979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f>41380.7+70.1-12</f>
        <v>41438.799999999996</v>
      </c>
      <c r="C142" s="77">
        <v>77971.6</v>
      </c>
      <c r="D142" s="77">
        <f>1285.7+343.1+251.2+535+4+1250.9+3+47.1-1+182.9+10.6+2492.6+31+22.3+70.1+288.5+61.4</f>
        <v>6878.400000000001</v>
      </c>
      <c r="E142" s="16"/>
      <c r="F142" s="6">
        <f t="shared" si="21"/>
        <v>16.59893626263309</v>
      </c>
      <c r="G142" s="6">
        <f aca="true" t="shared" si="22" ref="G142:G151">D142/C142*100</f>
        <v>8.821673532414366</v>
      </c>
      <c r="H142" s="6">
        <f>B142-D142</f>
        <v>34560.399999999994</v>
      </c>
      <c r="I142" s="6">
        <f aca="true" t="shared" si="23" ref="I142:I151">C142-D142</f>
        <v>71093.20000000001</v>
      </c>
      <c r="J142" s="109"/>
      <c r="K142" s="49"/>
      <c r="L142" s="49"/>
    </row>
    <row r="143" spans="1:12" ht="18.75">
      <c r="A143" s="25" t="s">
        <v>22</v>
      </c>
      <c r="B143" s="92">
        <f>17477.2+12</f>
        <v>17489.2</v>
      </c>
      <c r="C143" s="70">
        <f>23644.2-130</f>
        <v>23514.2</v>
      </c>
      <c r="D143" s="70">
        <f>2921.3+155.4+1707.9+56.8+14.6+990.8-990.8+14.7+990.8+400.1</f>
        <v>6261.600000000001</v>
      </c>
      <c r="E143" s="6"/>
      <c r="F143" s="6">
        <f t="shared" si="21"/>
        <v>35.80266678864671</v>
      </c>
      <c r="G143" s="6">
        <f t="shared" si="22"/>
        <v>26.629015658623306</v>
      </c>
      <c r="H143" s="6">
        <f aca="true" t="shared" si="24" ref="H143:H150">B143-D143</f>
        <v>11227.599999999999</v>
      </c>
      <c r="I143" s="6">
        <f t="shared" si="23"/>
        <v>17252.6</v>
      </c>
      <c r="K143" s="49"/>
      <c r="L143" s="49"/>
    </row>
    <row r="144" spans="1:12" ht="18.75">
      <c r="A144" s="25" t="s">
        <v>63</v>
      </c>
      <c r="B144" s="92">
        <f>50429.4-70.1</f>
        <v>50359.3</v>
      </c>
      <c r="C144" s="70">
        <f>109130.7-6200+130</f>
        <v>103060.7</v>
      </c>
      <c r="D144" s="70">
        <f>12373.9+5.2+226.7+32.3+504.2+352+56.1</f>
        <v>13550.400000000001</v>
      </c>
      <c r="E144" s="6"/>
      <c r="F144" s="6">
        <f t="shared" si="21"/>
        <v>26.907443113784346</v>
      </c>
      <c r="G144" s="6">
        <f t="shared" si="22"/>
        <v>13.147979782788202</v>
      </c>
      <c r="H144" s="6">
        <f t="shared" si="24"/>
        <v>36808.9</v>
      </c>
      <c r="I144" s="6">
        <f t="shared" si="23"/>
        <v>89510.29999999999</v>
      </c>
      <c r="K144" s="49"/>
      <c r="L144" s="49"/>
    </row>
    <row r="145" spans="1:12" ht="37.5">
      <c r="A145" s="25" t="s">
        <v>72</v>
      </c>
      <c r="B145" s="92">
        <v>6200</v>
      </c>
      <c r="C145" s="70">
        <v>6200</v>
      </c>
      <c r="D145" s="70">
        <f>5500+500</f>
        <v>6000</v>
      </c>
      <c r="E145" s="6"/>
      <c r="F145" s="6">
        <f t="shared" si="21"/>
        <v>96.7741935483871</v>
      </c>
      <c r="G145" s="6">
        <f t="shared" si="22"/>
        <v>96.7741935483871</v>
      </c>
      <c r="H145" s="6">
        <f t="shared" si="24"/>
        <v>200</v>
      </c>
      <c r="I145" s="6">
        <f t="shared" si="23"/>
        <v>200</v>
      </c>
      <c r="K145" s="49"/>
      <c r="L145" s="49"/>
    </row>
    <row r="146" spans="1:12" ht="18.75">
      <c r="A146" s="25" t="s">
        <v>13</v>
      </c>
      <c r="B146" s="92">
        <v>12711.9</v>
      </c>
      <c r="C146" s="70">
        <f>8750.7+10716.7</f>
        <v>19467.4</v>
      </c>
      <c r="D146" s="70">
        <f>1079.6+99+23+18.9+98+142.5+46.8+99.4+162.7+67+248.3+33.5+121.9+230+22.3+285.4+115.2+35.8+49.4+183.7</f>
        <v>3162.4000000000005</v>
      </c>
      <c r="E146" s="21"/>
      <c r="F146" s="6">
        <f t="shared" si="21"/>
        <v>24.877477009731045</v>
      </c>
      <c r="G146" s="6">
        <f t="shared" si="22"/>
        <v>16.244593525586367</v>
      </c>
      <c r="H146" s="6">
        <f t="shared" si="24"/>
        <v>9549.5</v>
      </c>
      <c r="I146" s="6">
        <f t="shared" si="23"/>
        <v>16305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724.1</v>
      </c>
      <c r="C148" s="70">
        <f>790+361.2</f>
        <v>1151.2</v>
      </c>
      <c r="D148" s="70">
        <f>371+201.4+67.1</f>
        <v>639.5</v>
      </c>
      <c r="E148" s="21"/>
      <c r="F148" s="6">
        <f>D148/B148*100</f>
        <v>88.3165308659025</v>
      </c>
      <c r="G148" s="6">
        <f t="shared" si="22"/>
        <v>55.55072967338429</v>
      </c>
      <c r="H148" s="6">
        <f t="shared" si="24"/>
        <v>84.60000000000002</v>
      </c>
      <c r="I148" s="6">
        <f t="shared" si="23"/>
        <v>511.70000000000005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v>6757.8</v>
      </c>
      <c r="C150" s="93">
        <f>3939.6+4926.7</f>
        <v>8866.3</v>
      </c>
      <c r="D150" s="93">
        <f>95.1+9.9+65+49.9+275.1+44.8+19.5+19.1+33.5+61.7+72.9+34.3+99.3</f>
        <v>880.0999999999999</v>
      </c>
      <c r="E150" s="26"/>
      <c r="F150" s="6">
        <f>D150/B150*100</f>
        <v>13.023469176359168</v>
      </c>
      <c r="G150" s="6">
        <f t="shared" si="22"/>
        <v>9.926350337795924</v>
      </c>
      <c r="H150" s="6">
        <f t="shared" si="24"/>
        <v>5877.700000000001</v>
      </c>
      <c r="I150" s="6">
        <f t="shared" si="23"/>
        <v>7986.199999999999</v>
      </c>
    </row>
    <row r="151" spans="1:9" ht="19.5" thickBot="1">
      <c r="A151" s="15" t="s">
        <v>20</v>
      </c>
      <c r="B151" s="94">
        <f>B134+B142+B146+B147+B143+B150+B149+B144+B148+B145</f>
        <v>542895.7999999999</v>
      </c>
      <c r="C151" s="94">
        <f>C134+C142+C146+C147+C143+C150+C149+C144+C148+C145</f>
        <v>866336.9999999999</v>
      </c>
      <c r="D151" s="94">
        <f>D134+D142+D146+D147+D143+D150+D149+D144+D148+D145</f>
        <v>399729.6000000002</v>
      </c>
      <c r="E151" s="27"/>
      <c r="F151" s="3">
        <f>D151/B151*100</f>
        <v>73.62915682899008</v>
      </c>
      <c r="G151" s="3">
        <f t="shared" si="22"/>
        <v>46.14019717500237</v>
      </c>
      <c r="H151" s="3">
        <f>B151-D151</f>
        <v>143166.19999999972</v>
      </c>
      <c r="I151" s="3">
        <f t="shared" si="23"/>
        <v>466607.3999999997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361238.9000000002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0" sqref="Q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2" sqref="Q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1" sqref="R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9" sqref="R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6" sqref="Q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K46" sqref="K4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4" sqref="Q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361238.9000000002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2014-07-14T14:08:38Z</cp:lastPrinted>
  <dcterms:created xsi:type="dcterms:W3CDTF">2000-06-20T04:48:00Z</dcterms:created>
  <dcterms:modified xsi:type="dcterms:W3CDTF">2014-07-18T05:18:35Z</dcterms:modified>
  <cp:category/>
  <cp:version/>
  <cp:contentType/>
  <cp:contentStatus/>
</cp:coreProperties>
</file>